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740280C2C76A930/Jepson Financial Services/"/>
    </mc:Choice>
  </mc:AlternateContent>
  <xr:revisionPtr revIDLastSave="738" documentId="8_{5A113D76-84F3-4006-8369-193B3F3B06EF}" xr6:coauthVersionLast="47" xr6:coauthVersionMax="47" xr10:uidLastSave="{BAEE4BDB-4230-404C-9FD1-9FA658493DAF}"/>
  <bookViews>
    <workbookView minimized="1" xWindow="5400" yWindow="1755" windowWidth="21600" windowHeight="11295" xr2:uid="{8D3E7307-FBED-4BCD-B687-E728C8923F9F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" l="1"/>
  <c r="F31" i="2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F30" i="2"/>
  <c r="F12" i="2"/>
  <c r="F29" i="2" s="1"/>
  <c r="F45" i="2" s="1"/>
  <c r="G49" i="2"/>
  <c r="G48" i="2"/>
  <c r="F46" i="2"/>
  <c r="J35" i="2"/>
  <c r="J37" i="2" s="1"/>
  <c r="F37" i="2"/>
  <c r="F44" i="2" s="1"/>
  <c r="F36" i="2"/>
  <c r="F35" i="2"/>
  <c r="I61" i="2" l="1"/>
  <c r="I58" i="2"/>
  <c r="I56" i="2"/>
  <c r="I64" i="2"/>
  <c r="I63" i="2"/>
  <c r="I55" i="2"/>
  <c r="I62" i="2"/>
  <c r="I70" i="2"/>
  <c r="I68" i="2"/>
  <c r="I57" i="2"/>
  <c r="I66" i="2"/>
  <c r="I60" i="2"/>
  <c r="I65" i="2"/>
  <c r="I59" i="2"/>
  <c r="J38" i="2"/>
  <c r="J36" i="2"/>
  <c r="F38" i="2"/>
  <c r="L37" i="2" s="1"/>
  <c r="G50" i="2"/>
  <c r="K14" i="2" s="1"/>
  <c r="I30" i="2"/>
  <c r="F39" i="2" l="1"/>
  <c r="I35" i="2" s="1"/>
  <c r="K35" i="2" s="1"/>
  <c r="K11" i="2"/>
  <c r="L35" i="2"/>
  <c r="L36" i="2"/>
  <c r="L38" i="2"/>
  <c r="I36" i="2" l="1"/>
  <c r="I37" i="2" s="1"/>
  <c r="M35" i="2"/>
  <c r="K36" i="2" l="1"/>
  <c r="M36" i="2" s="1"/>
  <c r="K37" i="2"/>
  <c r="I38" i="2"/>
  <c r="K38" i="2" s="1"/>
  <c r="M38" i="2" s="1"/>
  <c r="I39" i="2" l="1"/>
  <c r="K12" i="2" s="1"/>
  <c r="M37" i="2"/>
  <c r="M39" i="2" s="1"/>
  <c r="M40" i="2" s="1"/>
  <c r="K39" i="2"/>
  <c r="K13" i="2" l="1"/>
  <c r="F43" i="2" l="1"/>
  <c r="K15" i="2"/>
  <c r="H56" i="2" l="1"/>
  <c r="H62" i="2"/>
  <c r="H68" i="2"/>
  <c r="H57" i="2"/>
  <c r="H63" i="2"/>
  <c r="H69" i="2"/>
  <c r="H59" i="2"/>
  <c r="H65" i="2"/>
  <c r="H71" i="2"/>
  <c r="H60" i="2"/>
  <c r="H66" i="2"/>
  <c r="H72" i="2"/>
  <c r="H61" i="2"/>
  <c r="H67" i="2"/>
  <c r="H55" i="2"/>
  <c r="H58" i="2"/>
  <c r="H64" i="2"/>
  <c r="H70" i="2"/>
  <c r="J44" i="2"/>
  <c r="K16" i="2" s="1"/>
  <c r="J45" i="2"/>
  <c r="F57" i="2" l="1"/>
  <c r="F63" i="2"/>
  <c r="F69" i="2"/>
  <c r="F70" i="2"/>
  <c r="F59" i="2"/>
  <c r="F65" i="2"/>
  <c r="F71" i="2"/>
  <c r="F60" i="2"/>
  <c r="F72" i="2"/>
  <c r="F62" i="2"/>
  <c r="F58" i="2"/>
  <c r="F64" i="2"/>
  <c r="F66" i="2"/>
  <c r="F61" i="2"/>
  <c r="F67" i="2"/>
  <c r="F56" i="2"/>
  <c r="F68" i="2"/>
  <c r="K17" i="2"/>
  <c r="F55" i="2"/>
  <c r="G57" i="2" l="1"/>
  <c r="J57" i="2" s="1"/>
  <c r="G63" i="2"/>
  <c r="J63" i="2" s="1"/>
  <c r="G69" i="2"/>
  <c r="G70" i="2"/>
  <c r="J70" i="2" s="1"/>
  <c r="G59" i="2"/>
  <c r="J59" i="2" s="1"/>
  <c r="G65" i="2"/>
  <c r="J65" i="2" s="1"/>
  <c r="G71" i="2"/>
  <c r="G60" i="2"/>
  <c r="J60" i="2" s="1"/>
  <c r="G56" i="2"/>
  <c r="J56" i="2" s="1"/>
  <c r="G68" i="2"/>
  <c r="J68" i="2" s="1"/>
  <c r="G58" i="2"/>
  <c r="J58" i="2" s="1"/>
  <c r="G64" i="2"/>
  <c r="J64" i="2" s="1"/>
  <c r="G66" i="2"/>
  <c r="J66" i="2" s="1"/>
  <c r="G72" i="2"/>
  <c r="G61" i="2"/>
  <c r="J61" i="2" s="1"/>
  <c r="G67" i="2"/>
  <c r="G55" i="2"/>
  <c r="J55" i="2" s="1"/>
  <c r="G62" i="2"/>
  <c r="J62" i="2" s="1"/>
  <c r="J72" i="2" l="1"/>
  <c r="I72" i="2"/>
  <c r="J67" i="2"/>
  <c r="I67" i="2"/>
  <c r="J71" i="2"/>
  <c r="I71" i="2"/>
  <c r="I69" i="2"/>
  <c r="J69" i="2"/>
</calcChain>
</file>

<file path=xl/sharedStrings.xml><?xml version="1.0" encoding="utf-8"?>
<sst xmlns="http://schemas.openxmlformats.org/spreadsheetml/2006/main" count="63" uniqueCount="58">
  <si>
    <t>Step One: How much will a year of college  cost when your child starts college?</t>
  </si>
  <si>
    <t>Child's age</t>
  </si>
  <si>
    <t>Years until college</t>
  </si>
  <si>
    <t>College inflation</t>
  </si>
  <si>
    <t>Step two: Total cost of attendance for four years</t>
  </si>
  <si>
    <t># years in school</t>
  </si>
  <si>
    <t>Investment return</t>
  </si>
  <si>
    <t>future cost/yr</t>
  </si>
  <si>
    <t>Inflation adj return</t>
  </si>
  <si>
    <t>Step 3: amount to cover costs in today's dollars</t>
  </si>
  <si>
    <t>current amount saved</t>
  </si>
  <si>
    <t>payment per year end</t>
  </si>
  <si>
    <t>payment per month end</t>
  </si>
  <si>
    <t>Year 1</t>
  </si>
  <si>
    <t>year 2</t>
  </si>
  <si>
    <t>year 3</t>
  </si>
  <si>
    <t>year 4</t>
  </si>
  <si>
    <t>tuition value</t>
  </si>
  <si>
    <t>discount factor</t>
  </si>
  <si>
    <t>PV formula</t>
  </si>
  <si>
    <t>total tuition</t>
  </si>
  <si>
    <t>% funded</t>
  </si>
  <si>
    <t>adj tuition</t>
  </si>
  <si>
    <t>with gift</t>
  </si>
  <si>
    <t>future total cost with gift</t>
  </si>
  <si>
    <t>One time gift amount</t>
  </si>
  <si>
    <t>Gift Received in Year</t>
  </si>
  <si>
    <t>Future Value Gift at college start</t>
  </si>
  <si>
    <t>Future cost 1st yr</t>
  </si>
  <si>
    <t>www.bryanjepson.com</t>
  </si>
  <si>
    <t>Summary</t>
  </si>
  <si>
    <t>Inputs</t>
  </si>
  <si>
    <t>Child's Current Age</t>
  </si>
  <si>
    <t>College Duration (Years)</t>
  </si>
  <si>
    <t>Current Tuition (annual)</t>
  </si>
  <si>
    <t>Tuition inflation rate</t>
  </si>
  <si>
    <t>Tuition % to be funded</t>
  </si>
  <si>
    <t>Current savings</t>
  </si>
  <si>
    <t>One-time Gift amount</t>
  </si>
  <si>
    <t>Year gift given</t>
  </si>
  <si>
    <t>Outputs</t>
  </si>
  <si>
    <t>Tuition Cost at Start of College</t>
  </si>
  <si>
    <t>Total 4-year Tuition (nominal)</t>
  </si>
  <si>
    <t>Present Value of Tuition (Year 1 of college)</t>
  </si>
  <si>
    <t>Future Value of One-time Gift</t>
  </si>
  <si>
    <t>Remaining amoutn to be funded</t>
  </si>
  <si>
    <t>Year end contribution required</t>
  </si>
  <si>
    <t>Monthly contribution required</t>
  </si>
  <si>
    <t>College Savings Worksheet</t>
  </si>
  <si>
    <t>Current Annual Tuition</t>
  </si>
  <si>
    <t>amount needed day 1</t>
  </si>
  <si>
    <t>Year</t>
  </si>
  <si>
    <t>Projected Tuition</t>
  </si>
  <si>
    <t>Cumulative Savings</t>
  </si>
  <si>
    <t>Monthly contribution</t>
  </si>
  <si>
    <t>Target Savings</t>
  </si>
  <si>
    <t>College Start</t>
  </si>
  <si>
    <t>% Funded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</si>
</sst>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000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22"/>
      <color theme="10"/>
      <name val="Calibri"/>
      <family val="2"/>
      <scheme val="minor"/>
    </font>
    <font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3" borderId="0" xfId="0" applyFill="1"/>
    <xf numFmtId="0" fontId="0" fillId="2" borderId="0" xfId="0" applyFill="1"/>
    <xf numFmtId="8" fontId="0" fillId="4" borderId="0" xfId="0" applyNumberFormat="1" applyFill="1"/>
    <xf numFmtId="10" fontId="0" fillId="2" borderId="0" xfId="2" applyNumberFormat="1" applyFont="1" applyFill="1" applyBorder="1"/>
    <xf numFmtId="8" fontId="0" fillId="0" borderId="0" xfId="0" applyNumberFormat="1"/>
    <xf numFmtId="9" fontId="0" fillId="2" borderId="0" xfId="2" applyFont="1" applyFill="1" applyBorder="1"/>
    <xf numFmtId="165" fontId="0" fillId="0" borderId="0" xfId="0" applyNumberFormat="1"/>
    <xf numFmtId="10" fontId="0" fillId="0" borderId="0" xfId="2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4" fontId="0" fillId="2" borderId="0" xfId="1" applyFont="1" applyFill="1" applyBorder="1"/>
    <xf numFmtId="0" fontId="0" fillId="3" borderId="6" xfId="0" applyFill="1" applyBorder="1"/>
    <xf numFmtId="44" fontId="3" fillId="0" borderId="0" xfId="1" applyFont="1" applyFill="1" applyBorder="1"/>
    <xf numFmtId="0" fontId="3" fillId="0" borderId="0" xfId="0" applyFont="1"/>
    <xf numFmtId="44" fontId="0" fillId="0" borderId="0" xfId="1" applyFont="1" applyFill="1" applyBorder="1"/>
    <xf numFmtId="0" fontId="5" fillId="0" borderId="0" xfId="0" applyFont="1"/>
    <xf numFmtId="8" fontId="0" fillId="4" borderId="6" xfId="0" applyNumberFormat="1" applyFill="1" applyBorder="1"/>
    <xf numFmtId="0" fontId="0" fillId="5" borderId="3" xfId="0" applyFill="1" applyBorder="1"/>
    <xf numFmtId="0" fontId="0" fillId="5" borderId="4" xfId="0" applyFill="1" applyBorder="1"/>
    <xf numFmtId="0" fontId="0" fillId="2" borderId="8" xfId="0" applyFill="1" applyBorder="1"/>
    <xf numFmtId="0" fontId="3" fillId="2" borderId="11" xfId="0" applyFont="1" applyFill="1" applyBorder="1"/>
    <xf numFmtId="0" fontId="3" fillId="4" borderId="11" xfId="0" applyFont="1" applyFill="1" applyBorder="1"/>
    <xf numFmtId="0" fontId="5" fillId="5" borderId="2" xfId="0" applyFont="1" applyFill="1" applyBorder="1"/>
    <xf numFmtId="0" fontId="0" fillId="6" borderId="1" xfId="0" applyFill="1" applyBorder="1"/>
    <xf numFmtId="0" fontId="0" fillId="6" borderId="5" xfId="0" applyFill="1" applyBorder="1"/>
    <xf numFmtId="0" fontId="0" fillId="6" borderId="0" xfId="0" applyFill="1"/>
    <xf numFmtId="0" fontId="0" fillId="6" borderId="7" xfId="0" applyFill="1" applyBorder="1"/>
    <xf numFmtId="0" fontId="0" fillId="6" borderId="8" xfId="0" applyFill="1" applyBorder="1"/>
    <xf numFmtId="0" fontId="0" fillId="6" borderId="10" xfId="0" applyFill="1" applyBorder="1"/>
    <xf numFmtId="8" fontId="0" fillId="6" borderId="6" xfId="0" applyNumberFormat="1" applyFill="1" applyBorder="1"/>
    <xf numFmtId="44" fontId="0" fillId="6" borderId="6" xfId="0" applyNumberFormat="1" applyFill="1" applyBorder="1"/>
    <xf numFmtId="0" fontId="0" fillId="6" borderId="6" xfId="0" applyFill="1" applyBorder="1"/>
    <xf numFmtId="0" fontId="0" fillId="6" borderId="9" xfId="0" applyFill="1" applyBorder="1"/>
    <xf numFmtId="0" fontId="0" fillId="3" borderId="3" xfId="0" applyFill="1" applyBorder="1"/>
    <xf numFmtId="0" fontId="0" fillId="3" borderId="4" xfId="0" applyFill="1" applyBorder="1"/>
    <xf numFmtId="0" fontId="6" fillId="0" borderId="0" xfId="3" applyFont="1"/>
    <xf numFmtId="0" fontId="7" fillId="0" borderId="0" xfId="0" applyFont="1"/>
    <xf numFmtId="44" fontId="0" fillId="4" borderId="8" xfId="1" applyFont="1" applyFill="1" applyBorder="1"/>
    <xf numFmtId="44" fontId="0" fillId="0" borderId="0" xfId="0" applyNumberFormat="1"/>
    <xf numFmtId="44" fontId="0" fillId="0" borderId="0" xfId="1" applyFont="1"/>
    <xf numFmtId="164" fontId="1" fillId="0" borderId="0" xfId="1" applyNumberFormat="1" applyFont="1" applyFill="1" applyBorder="1"/>
    <xf numFmtId="10" fontId="1" fillId="0" borderId="0" xfId="2" applyNumberFormat="1" applyFont="1" applyFill="1" applyBorder="1"/>
    <xf numFmtId="9" fontId="1" fillId="0" borderId="0" xfId="2" applyFont="1" applyFill="1" applyBorder="1"/>
    <xf numFmtId="9" fontId="0" fillId="0" borderId="0" xfId="2" applyFont="1" applyFill="1" applyBorder="1"/>
    <xf numFmtId="10" fontId="0" fillId="0" borderId="0" xfId="2" applyNumberFormat="1" applyFont="1" applyFill="1"/>
    <xf numFmtId="10" fontId="0" fillId="0" borderId="0" xfId="2" applyNumberFormat="1" applyFont="1" applyFill="1" applyBorder="1"/>
    <xf numFmtId="44" fontId="1" fillId="0" borderId="0" xfId="1" applyFont="1" applyFill="1" applyBorder="1"/>
    <xf numFmtId="166" fontId="0" fillId="0" borderId="0" xfId="2" applyNumberFormat="1" applyFo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Fill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Projected Tuition Cost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'Sheet1 (2)'!$E$54</c:f>
              <c:strCache>
                <c:ptCount val="1"/>
                <c:pt idx="0">
                  <c:v>Projected Tuition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'Sheet1 (2)'!$E$55:$E$72</c:f>
              <c:numCache>
                <c:formatCode>_("$"* #,##0.00_);_("$"* \(#,##0.00\);_("$"* "-"??_);_(@_)</c:formatCode>
                <c:ptCount val="18"/>
                <c:pt idx="0">
                  <c:v>42000</c:v>
                </c:pt>
                <c:pt idx="1">
                  <c:v>44100</c:v>
                </c:pt>
                <c:pt idx="2">
                  <c:v>46305</c:v>
                </c:pt>
                <c:pt idx="3">
                  <c:v>48620.25</c:v>
                </c:pt>
                <c:pt idx="4">
                  <c:v>51051.262500000004</c:v>
                </c:pt>
                <c:pt idx="5">
                  <c:v>53603.825625000005</c:v>
                </c:pt>
                <c:pt idx="6">
                  <c:v>56284.016906250006</c:v>
                </c:pt>
                <c:pt idx="7">
                  <c:v>59098.217751562508</c:v>
                </c:pt>
                <c:pt idx="8">
                  <c:v>62053.128639140639</c:v>
                </c:pt>
                <c:pt idx="9">
                  <c:v>65155.785071097671</c:v>
                </c:pt>
                <c:pt idx="10">
                  <c:v>68413.574324652553</c:v>
                </c:pt>
                <c:pt idx="11">
                  <c:v>71834.253040885189</c:v>
                </c:pt>
                <c:pt idx="12">
                  <c:v>75425.965692929458</c:v>
                </c:pt>
                <c:pt idx="13">
                  <c:v>79197.263977575931</c:v>
                </c:pt>
                <c:pt idx="14">
                  <c:v>83157.127176454727</c:v>
                </c:pt>
                <c:pt idx="15">
                  <c:v>87314.983535277468</c:v>
                </c:pt>
                <c:pt idx="16">
                  <c:v>91680.732712041339</c:v>
                </c:pt>
                <c:pt idx="17">
                  <c:v>96264.769347643407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8-4272-B608-4EDB70A1B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805384"/>
        <c:axId val="10438057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'Sheet1 (2)'!$D$54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'Sheet1 (2)'!$D$55:$D$72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248-4272-B608-4EDB70A1BADF}"/>
                  </c:ext>
                </c:extLst>
              </c15:ser>
            </c15:filteredLineSeries>
          </c:ext>
        </c:extLst>
      </c:lineChart>
      <c:catAx>
        <c:axId val="10438053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805744"/>
        <c:crosses val="autoZero"/>
        <c:auto val="1"/>
        <c:lblAlgn val="ctr"/>
        <c:lblOffset val="100"/>
        <c:noMultiLvlLbl val="0"/>
      </c:catAx>
      <c:valAx>
        <c:axId val="104380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805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 I on Track to Fund College?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2"/>
          <c:tx>
            <c:strRef>
              <c:f>'Sheet1 (2)'!$I$54</c:f>
              <c:strCache>
                <c:ptCount val="1"/>
                <c:pt idx="0">
                  <c:v>College Start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'Sheet1 (2)'!$I$55:$I$72</c:f>
              <c:numCache>
                <c:formatCode>_("$"* #,##0.00_);_("$"* \(#,##0.00\);_("$"* "-"??_);_(@_)</c:formatCode>
                <c:ptCount val="1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277292.70830062812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D7-44A2-85E5-1884D94E0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6"/>
        <c:axId val="1157128200"/>
        <c:axId val="1157136120"/>
      </c:barChart>
      <c:lineChart>
        <c:grouping val="standard"/>
        <c:varyColors val="0"/>
        <c:ser>
          <c:idx val="1"/>
          <c:order val="0"/>
          <c:tx>
            <c:strRef>
              <c:f>'Sheet1 (2)'!$G$54</c:f>
              <c:strCache>
                <c:ptCount val="1"/>
                <c:pt idx="0">
                  <c:v>Cumulative Savings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'Sheet1 (2)'!$G$55:$G$72</c:f>
              <c:numCache>
                <c:formatCode>"$"#,##0.00_);[Red]\("$"#,##0.00\)</c:formatCode>
                <c:ptCount val="18"/>
                <c:pt idx="0">
                  <c:v>27402.754068362035</c:v>
                </c:pt>
                <c:pt idx="1">
                  <c:v>35340.653826884802</c:v>
                </c:pt>
                <c:pt idx="2">
                  <c:v>43852.385000779861</c:v>
                </c:pt>
                <c:pt idx="3">
                  <c:v>52979.429909462342</c:v>
                </c:pt>
                <c:pt idx="4">
                  <c:v>62766.269632571981</c:v>
                </c:pt>
                <c:pt idx="5">
                  <c:v>73260.600790592231</c:v>
                </c:pt>
                <c:pt idx="6">
                  <c:v>84513.567996557875</c:v>
                </c:pt>
                <c:pt idx="7">
                  <c:v>96580.013111715351</c:v>
                </c:pt>
                <c:pt idx="8">
                  <c:v>109518.74251989489</c:v>
                </c:pt>
                <c:pt idx="9">
                  <c:v>123392.81372316869</c:v>
                </c:pt>
                <c:pt idx="10">
                  <c:v>138269.84265553235</c:v>
                </c:pt>
                <c:pt idx="11">
                  <c:v>154222.33321231711</c:v>
                </c:pt>
                <c:pt idx="12">
                  <c:v>171328.03060131019</c:v>
                </c:pt>
                <c:pt idx="13">
                  <c:v>189670.30023765587</c:v>
                </c:pt>
                <c:pt idx="14">
                  <c:v>209338.53402909992</c:v>
                </c:pt>
                <c:pt idx="15">
                  <c:v>230428.58603162674</c:v>
                </c:pt>
                <c:pt idx="16">
                  <c:v>253043.23959867842</c:v>
                </c:pt>
                <c:pt idx="17">
                  <c:v>277292.70830062812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D7-44A2-85E5-1884D94E0122}"/>
            </c:ext>
          </c:extLst>
        </c:ser>
        <c:ser>
          <c:idx val="2"/>
          <c:order val="1"/>
          <c:tx>
            <c:strRef>
              <c:f>'Sheet1 (2)'!$H$54</c:f>
              <c:strCache>
                <c:ptCount val="1"/>
                <c:pt idx="0">
                  <c:v>Target Savings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'Sheet1 (2)'!$H$55:$H$72</c:f>
              <c:numCache>
                <c:formatCode>"$"#,##0.00_);[Red]\("$"#,##0.00\)</c:formatCode>
                <c:ptCount val="18"/>
                <c:pt idx="0">
                  <c:v>277292.70830062678</c:v>
                </c:pt>
                <c:pt idx="1">
                  <c:v>277292.70830062678</c:v>
                </c:pt>
                <c:pt idx="2">
                  <c:v>277292.70830062678</c:v>
                </c:pt>
                <c:pt idx="3">
                  <c:v>277292.70830062678</c:v>
                </c:pt>
                <c:pt idx="4">
                  <c:v>277292.70830062678</c:v>
                </c:pt>
                <c:pt idx="5">
                  <c:v>277292.70830062678</c:v>
                </c:pt>
                <c:pt idx="6">
                  <c:v>277292.70830062678</c:v>
                </c:pt>
                <c:pt idx="7">
                  <c:v>277292.70830062678</c:v>
                </c:pt>
                <c:pt idx="8">
                  <c:v>277292.70830062678</c:v>
                </c:pt>
                <c:pt idx="9">
                  <c:v>277292.70830062678</c:v>
                </c:pt>
                <c:pt idx="10">
                  <c:v>277292.70830062678</c:v>
                </c:pt>
                <c:pt idx="11">
                  <c:v>277292.70830062678</c:v>
                </c:pt>
                <c:pt idx="12">
                  <c:v>277292.70830062678</c:v>
                </c:pt>
                <c:pt idx="13">
                  <c:v>277292.70830062678</c:v>
                </c:pt>
                <c:pt idx="14">
                  <c:v>277292.70830062678</c:v>
                </c:pt>
                <c:pt idx="15">
                  <c:v>277292.70830062678</c:v>
                </c:pt>
                <c:pt idx="16">
                  <c:v>277292.70830062678</c:v>
                </c:pt>
                <c:pt idx="17">
                  <c:v>277292.70830062678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D7-44A2-85E5-1884D94E0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7128200"/>
        <c:axId val="1157136120"/>
      </c:lineChart>
      <c:catAx>
        <c:axId val="1157128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7136120"/>
        <c:crosses val="autoZero"/>
        <c:auto val="1"/>
        <c:lblAlgn val="ctr"/>
        <c:lblOffset val="100"/>
        <c:noMultiLvlLbl val="0"/>
      </c:catAx>
      <c:valAx>
        <c:axId val="115713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712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 w="12700"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28573</xdr:colOff>
      <xdr:row>94</xdr:row>
      <xdr:rowOff>161924</xdr:rowOff>
    </xdr:from>
    <xdr:to>
      <xdr:col>10</xdr:col>
      <xdr:colOff>0</xdr:colOff>
      <xdr:row>113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553535-1EE0-A50F-8A5C-C2F641962E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74</xdr:row>
      <xdr:rowOff>9523</xdr:rowOff>
    </xdr:from>
    <xdr:to>
      <xdr:col>10</xdr:col>
      <xdr:colOff>9524</xdr:colOff>
      <xdr:row>94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A7C2AC5-F53D-245A-E62D-4B2562E12C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yanjeps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7FD06-88CD-4AFA-BDED-F9CB81DCDDB5}">
  <dimension ref="B5:O72"/>
  <sheetViews>
    <sheetView tabSelected="1" topLeftCell="A46" workbookViewId="0">
      <selection activeCell="F14" sqref="F14"/>
    </sheetView>
  </sheetViews>
  <sheetFormatPr defaultRowHeight="15" x14ac:dyDescent="0.25"/>
  <cols>
    <col min="4" max="4" width="11.5703125" customWidth="1"/>
    <col min="5" max="5" width="12" customWidth="1"/>
    <col min="6" max="6" width="13.7109375" customWidth="1"/>
    <col min="7" max="7" width="12.140625" customWidth="1"/>
    <col min="8" max="8" width="16.85546875" customWidth="1"/>
    <col min="9" max="9" width="12.5703125" bestFit="1" customWidth="1"/>
    <col min="10" max="10" width="13.7109375" customWidth="1"/>
    <col min="11" max="11" width="11.85546875" bestFit="1" customWidth="1"/>
    <col min="12" max="12" width="15.7109375" customWidth="1"/>
    <col min="13" max="13" width="11.85546875" bestFit="1" customWidth="1"/>
    <col min="15" max="15" width="12" customWidth="1"/>
  </cols>
  <sheetData>
    <row r="5" spans="2:11" ht="33.75" x14ac:dyDescent="0.5">
      <c r="D5" s="41" t="s">
        <v>48</v>
      </c>
      <c r="I5" s="40" t="s">
        <v>29</v>
      </c>
    </row>
    <row r="6" spans="2:11" ht="16.5" customHeight="1" x14ac:dyDescent="0.45">
      <c r="B6" s="1"/>
    </row>
    <row r="7" spans="2:11" ht="16.5" customHeight="1" x14ac:dyDescent="0.45">
      <c r="B7" s="1"/>
    </row>
    <row r="8" spans="2:11" ht="3" customHeight="1" thickBot="1" x14ac:dyDescent="0.5">
      <c r="B8" s="1"/>
    </row>
    <row r="9" spans="2:11" ht="21" customHeight="1" x14ac:dyDescent="0.45">
      <c r="B9" s="1"/>
      <c r="D9" s="27" t="s">
        <v>30</v>
      </c>
      <c r="E9" s="22"/>
      <c r="F9" s="22"/>
      <c r="G9" s="22"/>
      <c r="H9" s="22"/>
      <c r="I9" s="22"/>
      <c r="J9" s="22"/>
      <c r="K9" s="23"/>
    </row>
    <row r="10" spans="2:11" ht="16.5" customHeight="1" x14ac:dyDescent="0.45">
      <c r="B10" s="1"/>
      <c r="D10" s="25" t="s">
        <v>31</v>
      </c>
      <c r="E10" s="28"/>
      <c r="F10" s="28"/>
      <c r="G10" s="28"/>
      <c r="H10" s="26" t="s">
        <v>40</v>
      </c>
      <c r="I10" s="28"/>
      <c r="J10" s="28"/>
      <c r="K10" s="33"/>
    </row>
    <row r="11" spans="2:11" ht="16.5" customHeight="1" x14ac:dyDescent="0.45">
      <c r="B11" s="1"/>
      <c r="D11" s="29" t="s">
        <v>32</v>
      </c>
      <c r="E11" s="30"/>
      <c r="F11" s="5">
        <v>0</v>
      </c>
      <c r="G11" s="30"/>
      <c r="H11" s="30" t="s">
        <v>41</v>
      </c>
      <c r="I11" s="30"/>
      <c r="J11" s="30"/>
      <c r="K11" s="34">
        <f>I30</f>
        <v>96264.769347643392</v>
      </c>
    </row>
    <row r="12" spans="2:11" ht="16.5" customHeight="1" x14ac:dyDescent="0.45">
      <c r="B12" s="1"/>
      <c r="D12" s="29" t="s">
        <v>2</v>
      </c>
      <c r="E12" s="30"/>
      <c r="F12" s="57">
        <f>18-F11</f>
        <v>18</v>
      </c>
      <c r="G12" s="30"/>
      <c r="H12" s="30" t="s">
        <v>42</v>
      </c>
      <c r="I12" s="30"/>
      <c r="J12" s="30"/>
      <c r="K12" s="34">
        <f>I39</f>
        <v>414913.18898451154</v>
      </c>
    </row>
    <row r="13" spans="2:11" ht="16.5" customHeight="1" x14ac:dyDescent="0.45">
      <c r="B13" s="1"/>
      <c r="D13" s="29" t="s">
        <v>33</v>
      </c>
      <c r="E13" s="30"/>
      <c r="F13" s="5">
        <v>4</v>
      </c>
      <c r="G13" s="30"/>
      <c r="H13" s="30" t="s">
        <v>43</v>
      </c>
      <c r="I13" s="30"/>
      <c r="J13" s="30"/>
      <c r="K13" s="34">
        <f>M39</f>
        <v>296571.46830213146</v>
      </c>
    </row>
    <row r="14" spans="2:11" ht="16.5" customHeight="1" x14ac:dyDescent="0.45">
      <c r="B14" s="1"/>
      <c r="D14" s="29" t="s">
        <v>34</v>
      </c>
      <c r="E14" s="30"/>
      <c r="F14" s="15">
        <v>40000</v>
      </c>
      <c r="G14" s="30"/>
      <c r="H14" s="30" t="s">
        <v>44</v>
      </c>
      <c r="I14" s="30"/>
      <c r="J14" s="30"/>
      <c r="K14" s="35">
        <f>G50</f>
        <v>19278.760001504652</v>
      </c>
    </row>
    <row r="15" spans="2:11" ht="16.5" customHeight="1" x14ac:dyDescent="0.45">
      <c r="B15" s="1"/>
      <c r="D15" s="29" t="s">
        <v>35</v>
      </c>
      <c r="E15" s="30"/>
      <c r="F15" s="7">
        <v>0.05</v>
      </c>
      <c r="G15" s="30"/>
      <c r="H15" s="30" t="s">
        <v>45</v>
      </c>
      <c r="I15" s="30"/>
      <c r="J15" s="30"/>
      <c r="K15" s="34">
        <f>M40</f>
        <v>277292.70830062678</v>
      </c>
    </row>
    <row r="16" spans="2:11" ht="16.5" customHeight="1" x14ac:dyDescent="0.45">
      <c r="B16" s="1"/>
      <c r="D16" s="29" t="s">
        <v>6</v>
      </c>
      <c r="E16" s="30"/>
      <c r="F16" s="7">
        <v>7.0000000000000007E-2</v>
      </c>
      <c r="G16" s="30"/>
      <c r="H16" s="30" t="s">
        <v>46</v>
      </c>
      <c r="I16" s="30"/>
      <c r="J16" s="30"/>
      <c r="K16" s="21">
        <f>J44</f>
        <v>6167.6479388474645</v>
      </c>
    </row>
    <row r="17" spans="2:15" ht="16.5" customHeight="1" x14ac:dyDescent="0.45">
      <c r="B17" s="1"/>
      <c r="D17" s="29" t="s">
        <v>36</v>
      </c>
      <c r="E17" s="30"/>
      <c r="F17" s="9">
        <v>0.75</v>
      </c>
      <c r="G17" s="30"/>
      <c r="H17" s="30" t="s">
        <v>47</v>
      </c>
      <c r="I17" s="30"/>
      <c r="J17" s="30"/>
      <c r="K17" s="21">
        <f>J45</f>
        <v>480.68682296800677</v>
      </c>
    </row>
    <row r="18" spans="2:15" ht="20.25" customHeight="1" x14ac:dyDescent="0.45">
      <c r="B18" s="1"/>
      <c r="D18" s="29" t="s">
        <v>37</v>
      </c>
      <c r="E18" s="30"/>
      <c r="F18" s="15">
        <v>20000</v>
      </c>
      <c r="G18" s="30"/>
      <c r="H18" s="30"/>
      <c r="I18" s="30"/>
      <c r="J18" s="30"/>
      <c r="K18" s="36"/>
    </row>
    <row r="19" spans="2:15" x14ac:dyDescent="0.25">
      <c r="D19" s="29" t="s">
        <v>38</v>
      </c>
      <c r="E19" s="30"/>
      <c r="F19" s="15">
        <v>8000</v>
      </c>
      <c r="G19" s="30"/>
      <c r="H19" s="30"/>
      <c r="I19" s="30"/>
      <c r="J19" s="30"/>
      <c r="K19" s="36"/>
    </row>
    <row r="20" spans="2:15" ht="15.75" thickBot="1" x14ac:dyDescent="0.3">
      <c r="D20" s="31" t="s">
        <v>39</v>
      </c>
      <c r="E20" s="32"/>
      <c r="F20" s="24">
        <v>5</v>
      </c>
      <c r="G20" s="32"/>
      <c r="H20" s="32"/>
      <c r="I20" s="32"/>
      <c r="J20" s="32"/>
      <c r="K20" s="37"/>
    </row>
    <row r="21" spans="2:15" ht="18.75" x14ac:dyDescent="0.3">
      <c r="D21" s="20"/>
    </row>
    <row r="22" spans="2:15" x14ac:dyDescent="0.25">
      <c r="G22" s="17"/>
    </row>
    <row r="23" spans="2:15" x14ac:dyDescent="0.25">
      <c r="G23" s="18"/>
    </row>
    <row r="24" spans="2:15" x14ac:dyDescent="0.25">
      <c r="G24" s="19"/>
    </row>
    <row r="25" spans="2:15" ht="15.75" thickBot="1" x14ac:dyDescent="0.3"/>
    <row r="26" spans="2:15" x14ac:dyDescent="0.25">
      <c r="D26" s="53" t="s">
        <v>0</v>
      </c>
      <c r="E26" s="54"/>
      <c r="F26" s="54"/>
      <c r="G26" s="54"/>
      <c r="H26" s="54"/>
      <c r="I26" s="54"/>
      <c r="J26" s="54"/>
      <c r="K26" s="38"/>
      <c r="L26" s="38"/>
      <c r="M26" s="38"/>
      <c r="N26" s="38"/>
      <c r="O26" s="39"/>
    </row>
    <row r="27" spans="2:15" x14ac:dyDescent="0.25">
      <c r="D27" s="2"/>
      <c r="O27" s="3"/>
    </row>
    <row r="28" spans="2:15" x14ac:dyDescent="0.25">
      <c r="D28" s="2" t="s">
        <v>1</v>
      </c>
      <c r="F28">
        <f>F11</f>
        <v>0</v>
      </c>
      <c r="O28" s="3"/>
    </row>
    <row r="29" spans="2:15" x14ac:dyDescent="0.25">
      <c r="D29" s="2" t="s">
        <v>2</v>
      </c>
      <c r="F29">
        <f>F12</f>
        <v>18</v>
      </c>
      <c r="O29" s="3"/>
    </row>
    <row r="30" spans="2:15" x14ac:dyDescent="0.25">
      <c r="D30" s="2" t="s">
        <v>49</v>
      </c>
      <c r="F30" s="45">
        <f>F14</f>
        <v>40000</v>
      </c>
      <c r="H30" t="s">
        <v>28</v>
      </c>
      <c r="I30" s="6">
        <f>FV(F31,F29,0,-F30)</f>
        <v>96264.769347643392</v>
      </c>
      <c r="O30" s="3"/>
    </row>
    <row r="31" spans="2:15" x14ac:dyDescent="0.25">
      <c r="D31" s="2" t="s">
        <v>3</v>
      </c>
      <c r="F31" s="46">
        <f>F15</f>
        <v>0.05</v>
      </c>
      <c r="O31" s="3"/>
    </row>
    <row r="32" spans="2:15" x14ac:dyDescent="0.25">
      <c r="D32" s="2"/>
      <c r="O32" s="3"/>
    </row>
    <row r="33" spans="4:15" x14ac:dyDescent="0.25">
      <c r="D33" s="55" t="s">
        <v>4</v>
      </c>
      <c r="E33" s="56"/>
      <c r="F33" s="56"/>
      <c r="G33" s="56"/>
      <c r="H33" s="56"/>
      <c r="I33" s="56"/>
      <c r="J33" s="56"/>
      <c r="K33" s="4"/>
      <c r="L33" s="4"/>
      <c r="M33" s="4"/>
      <c r="N33" s="4"/>
      <c r="O33" s="16"/>
    </row>
    <row r="34" spans="4:15" x14ac:dyDescent="0.25">
      <c r="D34" s="2"/>
      <c r="I34" t="s">
        <v>17</v>
      </c>
      <c r="J34" t="s">
        <v>21</v>
      </c>
      <c r="K34" t="s">
        <v>22</v>
      </c>
      <c r="L34" t="s">
        <v>18</v>
      </c>
      <c r="M34" t="s">
        <v>19</v>
      </c>
      <c r="O34" s="3"/>
    </row>
    <row r="35" spans="4:15" x14ac:dyDescent="0.25">
      <c r="D35" s="2" t="s">
        <v>5</v>
      </c>
      <c r="F35">
        <f>F13</f>
        <v>4</v>
      </c>
      <c r="H35" t="s">
        <v>13</v>
      </c>
      <c r="I35" s="8">
        <f>F39</f>
        <v>96264.769347643392</v>
      </c>
      <c r="J35" s="47">
        <f>F17</f>
        <v>0.75</v>
      </c>
      <c r="K35" s="8">
        <f>I35*J35</f>
        <v>72198.577010732552</v>
      </c>
      <c r="L35" s="10">
        <f>(1+$F$38)^1</f>
        <v>1.019047619047619</v>
      </c>
      <c r="M35" s="8">
        <f>K35/L35</f>
        <v>70849.070898382415</v>
      </c>
      <c r="O35" s="3"/>
    </row>
    <row r="36" spans="4:15" x14ac:dyDescent="0.25">
      <c r="D36" s="2" t="s">
        <v>3</v>
      </c>
      <c r="F36" s="49">
        <f>F15</f>
        <v>0.05</v>
      </c>
      <c r="H36" t="s">
        <v>14</v>
      </c>
      <c r="I36" s="8">
        <f>I35*1.05</f>
        <v>101078.00781502557</v>
      </c>
      <c r="J36" s="48">
        <f>$J$35</f>
        <v>0.75</v>
      </c>
      <c r="K36" s="8">
        <f t="shared" ref="K36:K38" si="0">I36*J36</f>
        <v>75808.505861269179</v>
      </c>
      <c r="L36" s="10">
        <f>(1+$F$38)^2</f>
        <v>1.0384580498866212</v>
      </c>
      <c r="M36" s="8">
        <f>K36/L36</f>
        <v>73001.028659314601</v>
      </c>
      <c r="O36" s="3"/>
    </row>
    <row r="37" spans="4:15" x14ac:dyDescent="0.25">
      <c r="D37" s="2" t="s">
        <v>6</v>
      </c>
      <c r="F37" s="46">
        <f>F16</f>
        <v>7.0000000000000007E-2</v>
      </c>
      <c r="H37" t="s">
        <v>15</v>
      </c>
      <c r="I37" s="8">
        <f t="shared" ref="I37:I38" si="1">I36*1.05</f>
        <v>106131.90820577685</v>
      </c>
      <c r="J37" s="48">
        <f t="shared" ref="J37:J38" si="2">$J$35</f>
        <v>0.75</v>
      </c>
      <c r="K37" s="8">
        <f t="shared" si="0"/>
        <v>79598.931154332648</v>
      </c>
      <c r="L37" s="10">
        <f>(1+$F$38)^3</f>
        <v>1.0582382032177948</v>
      </c>
      <c r="M37" s="8">
        <f>K37/L37</f>
        <v>75218.349623265749</v>
      </c>
      <c r="O37" s="3"/>
    </row>
    <row r="38" spans="4:15" x14ac:dyDescent="0.25">
      <c r="D38" s="2" t="s">
        <v>8</v>
      </c>
      <c r="F38" s="50">
        <f>((F37*100-F36*100)/(1+F36))/100</f>
        <v>1.9047619047619056E-2</v>
      </c>
      <c r="H38" t="s">
        <v>16</v>
      </c>
      <c r="I38" s="8">
        <f t="shared" si="1"/>
        <v>111438.5036160657</v>
      </c>
      <c r="J38" s="48">
        <f t="shared" si="2"/>
        <v>0.75</v>
      </c>
      <c r="K38" s="8">
        <f t="shared" si="0"/>
        <v>83578.877712049274</v>
      </c>
      <c r="L38" s="10">
        <f>(1+$F$38)^4</f>
        <v>1.0783951213743241</v>
      </c>
      <c r="M38" s="8">
        <f>K38/L38</f>
        <v>77503.019121168691</v>
      </c>
      <c r="O38" s="3"/>
    </row>
    <row r="39" spans="4:15" x14ac:dyDescent="0.25">
      <c r="D39" s="2" t="s">
        <v>7</v>
      </c>
      <c r="F39" s="8">
        <f>I30</f>
        <v>96264.769347643392</v>
      </c>
      <c r="H39" t="s">
        <v>20</v>
      </c>
      <c r="I39" s="6">
        <f>SUM(I35:I38)</f>
        <v>414913.18898451154</v>
      </c>
      <c r="J39" s="8"/>
      <c r="K39" s="6">
        <f>SUM(K35:K38)</f>
        <v>311184.89173838368</v>
      </c>
      <c r="M39" s="6">
        <f>SUM(M35:M38)</f>
        <v>296571.46830213146</v>
      </c>
      <c r="N39" t="s">
        <v>50</v>
      </c>
      <c r="O39" s="3"/>
    </row>
    <row r="40" spans="4:15" x14ac:dyDescent="0.25">
      <c r="D40" s="2"/>
      <c r="L40" t="s">
        <v>23</v>
      </c>
      <c r="M40" s="6">
        <f>M39-G50</f>
        <v>277292.70830062678</v>
      </c>
      <c r="O40" s="3"/>
    </row>
    <row r="41" spans="4:15" x14ac:dyDescent="0.25">
      <c r="D41" s="55" t="s">
        <v>9</v>
      </c>
      <c r="E41" s="56"/>
      <c r="F41" s="56"/>
      <c r="G41" s="56"/>
      <c r="H41" s="56"/>
      <c r="I41" s="56"/>
      <c r="J41" s="56"/>
      <c r="K41" s="4"/>
      <c r="L41" s="4"/>
      <c r="M41" s="4"/>
      <c r="N41" s="4"/>
      <c r="O41" s="16"/>
    </row>
    <row r="42" spans="4:15" x14ac:dyDescent="0.25">
      <c r="D42" s="2"/>
      <c r="O42" s="3"/>
    </row>
    <row r="43" spans="4:15" x14ac:dyDescent="0.25">
      <c r="D43" s="2" t="s">
        <v>24</v>
      </c>
      <c r="F43" s="8">
        <f>M40</f>
        <v>277292.70830062678</v>
      </c>
      <c r="O43" s="3"/>
    </row>
    <row r="44" spans="4:15" x14ac:dyDescent="0.25">
      <c r="D44" s="2" t="s">
        <v>6</v>
      </c>
      <c r="F44" s="11">
        <f>F37</f>
        <v>7.0000000000000007E-2</v>
      </c>
      <c r="H44" t="s">
        <v>11</v>
      </c>
      <c r="J44" s="6">
        <f>-PMT(F44,F45,-F46,F43,0)</f>
        <v>6167.6479388474645</v>
      </c>
      <c r="O44" s="3"/>
    </row>
    <row r="45" spans="4:15" x14ac:dyDescent="0.25">
      <c r="D45" s="2" t="s">
        <v>2</v>
      </c>
      <c r="F45">
        <f>F29</f>
        <v>18</v>
      </c>
      <c r="H45" t="s">
        <v>12</v>
      </c>
      <c r="J45" s="6">
        <f>-PMT(F44/12,F45*12,-F46,F43,0)</f>
        <v>480.68682296800677</v>
      </c>
      <c r="O45" s="3"/>
    </row>
    <row r="46" spans="4:15" x14ac:dyDescent="0.25">
      <c r="D46" s="2" t="s">
        <v>10</v>
      </c>
      <c r="F46" s="51">
        <f>F18</f>
        <v>20000</v>
      </c>
      <c r="O46" s="3"/>
    </row>
    <row r="47" spans="4:15" x14ac:dyDescent="0.25">
      <c r="D47" s="2"/>
      <c r="O47" s="3"/>
    </row>
    <row r="48" spans="4:15" x14ac:dyDescent="0.25">
      <c r="D48" s="2" t="s">
        <v>25</v>
      </c>
      <c r="G48" s="51">
        <f>F19</f>
        <v>8000</v>
      </c>
      <c r="O48" s="3"/>
    </row>
    <row r="49" spans="4:15" x14ac:dyDescent="0.25">
      <c r="D49" s="2" t="s">
        <v>26</v>
      </c>
      <c r="G49">
        <f>F20</f>
        <v>5</v>
      </c>
      <c r="O49" s="3"/>
    </row>
    <row r="50" spans="4:15" ht="15.75" thickBot="1" x14ac:dyDescent="0.3">
      <c r="D50" s="12" t="s">
        <v>27</v>
      </c>
      <c r="E50" s="13"/>
      <c r="F50" s="13"/>
      <c r="G50" s="42">
        <f>G48*(1+F37)^(F29-G49)</f>
        <v>19278.760001504652</v>
      </c>
      <c r="H50" s="13"/>
      <c r="I50" s="13"/>
      <c r="J50" s="13"/>
      <c r="K50" s="13"/>
      <c r="L50" s="13"/>
      <c r="M50" s="13"/>
      <c r="N50" s="13"/>
      <c r="O50" s="14"/>
    </row>
    <row r="54" spans="4:15" x14ac:dyDescent="0.25">
      <c r="D54" t="s">
        <v>51</v>
      </c>
      <c r="E54" t="s">
        <v>52</v>
      </c>
      <c r="F54" t="s">
        <v>54</v>
      </c>
      <c r="G54" t="s">
        <v>53</v>
      </c>
      <c r="H54" t="s">
        <v>55</v>
      </c>
      <c r="I54" t="s">
        <v>56</v>
      </c>
      <c r="J54" t="s">
        <v>57</v>
      </c>
    </row>
    <row r="55" spans="4:15" x14ac:dyDescent="0.25">
      <c r="D55">
        <v>1</v>
      </c>
      <c r="E55" s="43">
        <f>$F$14*(1+$F$31)^1</f>
        <v>42000</v>
      </c>
      <c r="F55" s="8">
        <f>$J$45</f>
        <v>480.68682296800677</v>
      </c>
      <c r="G55" s="8">
        <f>FV($F$16/12,12*D55,-$K$17,-$F$46)</f>
        <v>27402.754068362035</v>
      </c>
      <c r="H55" s="8">
        <f>$K$15</f>
        <v>277292.70830062678</v>
      </c>
      <c r="I55" s="44" t="e">
        <f>IF(D55=$F$12,MAX(G55:G72),NA())</f>
        <v>#N/A</v>
      </c>
      <c r="J55" s="52">
        <f>IF(H55=0,0,G55/H55)</f>
        <v>9.882248341941019E-2</v>
      </c>
    </row>
    <row r="56" spans="4:15" x14ac:dyDescent="0.25">
      <c r="D56">
        <v>2</v>
      </c>
      <c r="E56" s="43">
        <f>E55*(1+$F$15)</f>
        <v>44100</v>
      </c>
      <c r="F56" s="8">
        <f t="shared" ref="F56:F72" si="3">$J$45</f>
        <v>480.68682296800677</v>
      </c>
      <c r="G56" s="8">
        <f t="shared" ref="G56:G72" si="4">FV($F$16/12,12*D56,-$K$17,-$F$46)</f>
        <v>35340.653826884802</v>
      </c>
      <c r="H56" s="8">
        <f t="shared" ref="H56:H72" si="5">$K$15</f>
        <v>277292.70830062678</v>
      </c>
      <c r="I56" s="44" t="e">
        <f t="shared" ref="I56:I72" si="6">IF(D56=$F$12,MAX(G56:G73),NA())</f>
        <v>#N/A</v>
      </c>
      <c r="J56" s="52">
        <f t="shared" ref="J56:J72" si="7">IF(H56=0,0,G56/H56)</f>
        <v>0.12744891145341711</v>
      </c>
    </row>
    <row r="57" spans="4:15" x14ac:dyDescent="0.25">
      <c r="D57">
        <v>3</v>
      </c>
      <c r="E57" s="43">
        <f t="shared" ref="E57:E72" si="8">E56*(1+$F$15)</f>
        <v>46305</v>
      </c>
      <c r="F57" s="8">
        <f t="shared" si="3"/>
        <v>480.68682296800677</v>
      </c>
      <c r="G57" s="8">
        <f t="shared" si="4"/>
        <v>43852.385000779861</v>
      </c>
      <c r="H57" s="8">
        <f t="shared" si="5"/>
        <v>277292.70830062678</v>
      </c>
      <c r="I57" s="44" t="e">
        <f t="shared" si="6"/>
        <v>#N/A</v>
      </c>
      <c r="J57" s="52">
        <f t="shared" si="7"/>
        <v>0.15814474628462757</v>
      </c>
    </row>
    <row r="58" spans="4:15" x14ac:dyDescent="0.25">
      <c r="D58">
        <v>4</v>
      </c>
      <c r="E58" s="43">
        <f t="shared" si="8"/>
        <v>48620.25</v>
      </c>
      <c r="F58" s="8">
        <f t="shared" si="3"/>
        <v>480.68682296800677</v>
      </c>
      <c r="G58" s="8">
        <f t="shared" si="4"/>
        <v>52979.429909462342</v>
      </c>
      <c r="H58" s="8">
        <f t="shared" si="5"/>
        <v>277292.70830062678</v>
      </c>
      <c r="I58" s="44" t="e">
        <f t="shared" si="6"/>
        <v>#N/A</v>
      </c>
      <c r="J58" s="52">
        <f t="shared" si="7"/>
        <v>0.19105958549773588</v>
      </c>
    </row>
    <row r="59" spans="4:15" x14ac:dyDescent="0.25">
      <c r="D59">
        <v>5</v>
      </c>
      <c r="E59" s="43">
        <f t="shared" si="8"/>
        <v>51051.262500000004</v>
      </c>
      <c r="F59" s="8">
        <f t="shared" si="3"/>
        <v>480.68682296800677</v>
      </c>
      <c r="G59" s="8">
        <f t="shared" si="4"/>
        <v>62766.269632571981</v>
      </c>
      <c r="H59" s="8">
        <f t="shared" si="5"/>
        <v>277292.70830062678</v>
      </c>
      <c r="I59" s="44" t="e">
        <f t="shared" si="6"/>
        <v>#N/A</v>
      </c>
      <c r="J59" s="52">
        <f t="shared" si="7"/>
        <v>0.22635384109892986</v>
      </c>
    </row>
    <row r="60" spans="4:15" x14ac:dyDescent="0.25">
      <c r="D60">
        <v>6</v>
      </c>
      <c r="E60" s="43">
        <f t="shared" si="8"/>
        <v>53603.825625000005</v>
      </c>
      <c r="F60" s="8">
        <f t="shared" si="3"/>
        <v>480.68682296800677</v>
      </c>
      <c r="G60" s="8">
        <f t="shared" si="4"/>
        <v>73260.600790592231</v>
      </c>
      <c r="H60" s="8">
        <f t="shared" si="5"/>
        <v>277292.70830062678</v>
      </c>
      <c r="I60" s="44" t="e">
        <f t="shared" si="6"/>
        <v>#N/A</v>
      </c>
      <c r="J60" s="52">
        <f t="shared" si="7"/>
        <v>0.26419952129129476</v>
      </c>
    </row>
    <row r="61" spans="4:15" x14ac:dyDescent="0.25">
      <c r="D61">
        <v>7</v>
      </c>
      <c r="E61" s="43">
        <f t="shared" si="8"/>
        <v>56284.016906250006</v>
      </c>
      <c r="F61" s="8">
        <f t="shared" si="3"/>
        <v>480.68682296800677</v>
      </c>
      <c r="G61" s="8">
        <f t="shared" si="4"/>
        <v>84513.567996557875</v>
      </c>
      <c r="H61" s="8">
        <f t="shared" si="5"/>
        <v>277292.70830062678</v>
      </c>
      <c r="I61" s="44" t="e">
        <f t="shared" si="6"/>
        <v>#N/A</v>
      </c>
      <c r="J61" s="52">
        <f t="shared" si="7"/>
        <v>0.30478106876482497</v>
      </c>
    </row>
    <row r="62" spans="4:15" x14ac:dyDescent="0.25">
      <c r="D62">
        <v>8</v>
      </c>
      <c r="E62" s="43">
        <f t="shared" si="8"/>
        <v>59098.217751562508</v>
      </c>
      <c r="F62" s="8">
        <f t="shared" si="3"/>
        <v>480.68682296800677</v>
      </c>
      <c r="G62" s="8">
        <f t="shared" si="4"/>
        <v>96580.013111715351</v>
      </c>
      <c r="H62" s="8">
        <f t="shared" si="5"/>
        <v>277292.70830062678</v>
      </c>
      <c r="I62" s="44" t="e">
        <f t="shared" si="6"/>
        <v>#N/A</v>
      </c>
      <c r="J62" s="52">
        <f t="shared" si="7"/>
        <v>0.3482962595864878</v>
      </c>
    </row>
    <row r="63" spans="4:15" x14ac:dyDescent="0.25">
      <c r="D63">
        <v>9</v>
      </c>
      <c r="E63" s="43">
        <f t="shared" si="8"/>
        <v>62053.128639140639</v>
      </c>
      <c r="F63" s="8">
        <f t="shared" si="3"/>
        <v>480.68682296800677</v>
      </c>
      <c r="G63" s="8">
        <f t="shared" si="4"/>
        <v>109518.74251989489</v>
      </c>
      <c r="H63" s="8">
        <f t="shared" si="5"/>
        <v>277292.70830062678</v>
      </c>
      <c r="I63" s="44" t="e">
        <f t="shared" si="6"/>
        <v>#N/A</v>
      </c>
      <c r="J63" s="52">
        <f t="shared" si="7"/>
        <v>0.39495716707112322</v>
      </c>
    </row>
    <row r="64" spans="4:15" x14ac:dyDescent="0.25">
      <c r="D64">
        <v>10</v>
      </c>
      <c r="E64" s="43">
        <f t="shared" si="8"/>
        <v>65155.785071097671</v>
      </c>
      <c r="F64" s="8">
        <f t="shared" si="3"/>
        <v>480.68682296800677</v>
      </c>
      <c r="G64" s="8">
        <f t="shared" si="4"/>
        <v>123392.81372316869</v>
      </c>
      <c r="H64" s="8">
        <f t="shared" si="5"/>
        <v>277292.70830062678</v>
      </c>
      <c r="I64" s="44" t="e">
        <f t="shared" si="6"/>
        <v>#N/A</v>
      </c>
      <c r="J64" s="52">
        <f t="shared" si="7"/>
        <v>0.44499119533064829</v>
      </c>
    </row>
    <row r="65" spans="4:10" x14ac:dyDescent="0.25">
      <c r="D65">
        <v>11</v>
      </c>
      <c r="E65" s="43">
        <f t="shared" si="8"/>
        <v>68413.574324652553</v>
      </c>
      <c r="F65" s="8">
        <f t="shared" si="3"/>
        <v>480.68682296800677</v>
      </c>
      <c r="G65" s="8">
        <f t="shared" si="4"/>
        <v>138269.84265553235</v>
      </c>
      <c r="H65" s="8">
        <f t="shared" si="5"/>
        <v>277292.70830062678</v>
      </c>
      <c r="I65" s="44" t="e">
        <f t="shared" si="6"/>
        <v>#N/A</v>
      </c>
      <c r="J65" s="52">
        <f t="shared" si="7"/>
        <v>0.49864218753861772</v>
      </c>
    </row>
    <row r="66" spans="4:10" x14ac:dyDescent="0.25">
      <c r="D66">
        <v>12</v>
      </c>
      <c r="E66" s="43">
        <f t="shared" si="8"/>
        <v>71834.253040885189</v>
      </c>
      <c r="F66" s="8">
        <f t="shared" si="3"/>
        <v>480.68682296800677</v>
      </c>
      <c r="G66" s="8">
        <f t="shared" si="4"/>
        <v>154222.33321231711</v>
      </c>
      <c r="H66" s="8">
        <f t="shared" si="5"/>
        <v>277292.70830062678</v>
      </c>
      <c r="I66" s="44" t="e">
        <f t="shared" si="6"/>
        <v>#N/A</v>
      </c>
      <c r="J66" s="52">
        <f t="shared" si="7"/>
        <v>0.55617161431131834</v>
      </c>
    </row>
    <row r="67" spans="4:10" x14ac:dyDescent="0.25">
      <c r="D67">
        <v>13</v>
      </c>
      <c r="E67" s="43">
        <f t="shared" si="8"/>
        <v>75425.965692929458</v>
      </c>
      <c r="F67" s="8">
        <f t="shared" si="3"/>
        <v>480.68682296800677</v>
      </c>
      <c r="G67" s="8">
        <f t="shared" si="4"/>
        <v>171328.03060131019</v>
      </c>
      <c r="H67" s="8">
        <f t="shared" si="5"/>
        <v>277292.70830062678</v>
      </c>
      <c r="I67" s="44" t="e">
        <f t="shared" si="6"/>
        <v>#N/A</v>
      </c>
      <c r="J67" s="52">
        <f t="shared" si="7"/>
        <v>0.61785984799703053</v>
      </c>
    </row>
    <row r="68" spans="4:10" x14ac:dyDescent="0.25">
      <c r="D68">
        <v>14</v>
      </c>
      <c r="E68" s="43">
        <f t="shared" si="8"/>
        <v>79197.263977575931</v>
      </c>
      <c r="F68" s="8">
        <f t="shared" si="3"/>
        <v>480.68682296800677</v>
      </c>
      <c r="G68" s="8">
        <f t="shared" si="4"/>
        <v>189670.30023765587</v>
      </c>
      <c r="H68" s="8">
        <f t="shared" si="5"/>
        <v>277292.70830062678</v>
      </c>
      <c r="I68" s="44" t="e">
        <f t="shared" si="6"/>
        <v>#N/A</v>
      </c>
      <c r="J68" s="52">
        <f t="shared" si="7"/>
        <v>0.68400752908376117</v>
      </c>
    </row>
    <row r="69" spans="4:10" x14ac:dyDescent="0.25">
      <c r="D69">
        <v>15</v>
      </c>
      <c r="E69" s="43">
        <f t="shared" si="8"/>
        <v>83157.127176454727</v>
      </c>
      <c r="F69" s="8">
        <f t="shared" si="3"/>
        <v>480.68682296800677</v>
      </c>
      <c r="G69" s="8">
        <f t="shared" si="4"/>
        <v>209338.53402909992</v>
      </c>
      <c r="H69" s="8">
        <f t="shared" si="5"/>
        <v>277292.70830062678</v>
      </c>
      <c r="I69" s="44" t="e">
        <f t="shared" si="6"/>
        <v>#N/A</v>
      </c>
      <c r="J69" s="52">
        <f t="shared" si="7"/>
        <v>0.75493703138470425</v>
      </c>
    </row>
    <row r="70" spans="4:10" x14ac:dyDescent="0.25">
      <c r="D70">
        <v>16</v>
      </c>
      <c r="E70" s="43">
        <f t="shared" si="8"/>
        <v>87314.983535277468</v>
      </c>
      <c r="F70" s="8">
        <f t="shared" si="3"/>
        <v>480.68682296800677</v>
      </c>
      <c r="G70" s="8">
        <f t="shared" si="4"/>
        <v>230428.58603162674</v>
      </c>
      <c r="H70" s="8">
        <f t="shared" si="5"/>
        <v>277292.70830062678</v>
      </c>
      <c r="I70" s="44" t="e">
        <f t="shared" si="6"/>
        <v>#N/A</v>
      </c>
      <c r="J70" s="52">
        <f t="shared" si="7"/>
        <v>0.83099403314207487</v>
      </c>
    </row>
    <row r="71" spans="4:10" x14ac:dyDescent="0.25">
      <c r="D71">
        <v>17</v>
      </c>
      <c r="E71" s="43">
        <f t="shared" si="8"/>
        <v>91680.732712041339</v>
      </c>
      <c r="F71" s="8">
        <f t="shared" si="3"/>
        <v>480.68682296800677</v>
      </c>
      <c r="G71" s="8">
        <f t="shared" si="4"/>
        <v>253043.23959867842</v>
      </c>
      <c r="H71" s="8">
        <f t="shared" si="5"/>
        <v>277292.70830062678</v>
      </c>
      <c r="I71" s="44" t="e">
        <f t="shared" si="6"/>
        <v>#N/A</v>
      </c>
      <c r="J71" s="52">
        <f t="shared" si="7"/>
        <v>0.9125492017061686</v>
      </c>
    </row>
    <row r="72" spans="4:10" x14ac:dyDescent="0.25">
      <c r="D72">
        <v>18</v>
      </c>
      <c r="E72" s="43">
        <f t="shared" si="8"/>
        <v>96264.769347643407</v>
      </c>
      <c r="F72" s="8">
        <f t="shared" si="3"/>
        <v>480.68682296800677</v>
      </c>
      <c r="G72" s="8">
        <f t="shared" si="4"/>
        <v>277292.70830062812</v>
      </c>
      <c r="H72" s="8">
        <f t="shared" si="5"/>
        <v>277292.70830062678</v>
      </c>
      <c r="I72" s="44">
        <f t="shared" si="6"/>
        <v>277292.70830062812</v>
      </c>
      <c r="J72" s="52">
        <f t="shared" si="7"/>
        <v>1.0000000000000049</v>
      </c>
    </row>
  </sheetData>
  <mergeCells count="3">
    <mergeCell ref="D26:J26"/>
    <mergeCell ref="D33:J33"/>
    <mergeCell ref="D41:J41"/>
  </mergeCells>
  <hyperlinks>
    <hyperlink ref="I5" r:id="rId1" xr:uid="{32AEBAD4-8309-4092-8CA6-63FBB4EB0A1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Jepson</dc:creator>
  <cp:lastModifiedBy>Bryan Jepson</cp:lastModifiedBy>
  <dcterms:created xsi:type="dcterms:W3CDTF">2024-02-15T19:28:21Z</dcterms:created>
  <dcterms:modified xsi:type="dcterms:W3CDTF">2025-06-18T20:29:13Z</dcterms:modified>
</cp:coreProperties>
</file>